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Mikrobiotech\Buszkowska Katarzyna\Newsletter\Edit 28\"/>
    </mc:Choice>
  </mc:AlternateContent>
  <xr:revisionPtr revIDLastSave="0" documentId="13_ncr:1_{1DD9B94E-4D13-41B1-9917-035D5559999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5" i="2" l="1"/>
  <c r="I38" i="2"/>
  <c r="H38" i="2"/>
  <c r="G38" i="2"/>
  <c r="D37" i="2" l="1"/>
  <c r="C37" i="2"/>
  <c r="B37" i="2"/>
  <c r="D12" i="2"/>
  <c r="E9" i="2"/>
  <c r="B74" i="2"/>
  <c r="B71" i="2"/>
  <c r="D17" i="2"/>
  <c r="C17" i="2"/>
  <c r="B17" i="2"/>
  <c r="B14" i="2"/>
  <c r="C12" i="2"/>
  <c r="D45" i="2"/>
  <c r="D41" i="2"/>
  <c r="D42" i="2" s="1"/>
  <c r="C45" i="2"/>
  <c r="C41" i="2"/>
  <c r="B45" i="2"/>
  <c r="B41" i="2"/>
  <c r="D46" i="2" l="1"/>
  <c r="D47" i="2" s="1"/>
  <c r="B24" i="2" s="1"/>
  <c r="B46" i="2"/>
  <c r="B47" i="2" s="1"/>
  <c r="B22" i="2" s="1"/>
  <c r="C46" i="2"/>
  <c r="C47" i="2" s="1"/>
  <c r="B23" i="2" s="1"/>
  <c r="E45" i="2"/>
  <c r="B72" i="2" s="1"/>
  <c r="B73" i="2" s="1"/>
  <c r="B76" i="2" s="1"/>
  <c r="E41" i="2"/>
  <c r="E37" i="2"/>
  <c r="D43" i="2"/>
  <c r="D44" i="2" s="1"/>
  <c r="C42" i="2"/>
  <c r="C43" i="2"/>
  <c r="C44" i="2" s="1"/>
  <c r="B42" i="2"/>
  <c r="B43" i="2"/>
  <c r="B25" i="2" l="1"/>
  <c r="B21" i="2"/>
  <c r="E38" i="2"/>
  <c r="E39" i="2"/>
  <c r="E42" i="2"/>
  <c r="B44" i="2"/>
  <c r="E44" i="2" s="1"/>
  <c r="F44" i="2" s="1"/>
  <c r="E43" i="2"/>
  <c r="B77" i="2"/>
  <c r="B26" i="2" s="1"/>
  <c r="B78" i="2" l="1"/>
  <c r="B27" i="2" s="1"/>
  <c r="H44" i="2"/>
  <c r="I44" i="2"/>
  <c r="E40" i="2"/>
  <c r="F43" i="2"/>
  <c r="G44" i="2" l="1"/>
  <c r="H43" i="2"/>
  <c r="I43" i="2"/>
  <c r="F41" i="2"/>
  <c r="F37" i="2" l="1"/>
  <c r="I41" i="2"/>
  <c r="H41" i="2"/>
  <c r="H40" i="2" s="1"/>
  <c r="F40" i="2"/>
  <c r="G43" i="2"/>
  <c r="I40" i="2" l="1"/>
  <c r="G41" i="2"/>
  <c r="F42" i="2"/>
  <c r="H37" i="2"/>
  <c r="I37" i="2"/>
  <c r="F45" i="2"/>
  <c r="I45" i="2" l="1"/>
  <c r="I46" i="2"/>
  <c r="I47" i="2" s="1"/>
  <c r="B31" i="2" s="1"/>
  <c r="H45" i="2"/>
  <c r="H46" i="2"/>
  <c r="H47" i="2" s="1"/>
  <c r="B30" i="2" s="1"/>
  <c r="I39" i="2"/>
  <c r="G37" i="2"/>
  <c r="G39" i="2" s="1"/>
  <c r="H42" i="2"/>
  <c r="I42" i="2"/>
  <c r="H39" i="2"/>
  <c r="G40" i="2"/>
  <c r="B32" i="2" l="1"/>
  <c r="G45" i="2"/>
  <c r="G46" i="2"/>
  <c r="G47" i="2" s="1"/>
  <c r="B29" i="2" s="1"/>
  <c r="B28" i="2" s="1"/>
  <c r="B20" i="2" s="1"/>
  <c r="G42" i="2"/>
</calcChain>
</file>

<file path=xl/sharedStrings.xml><?xml version="1.0" encoding="utf-8"?>
<sst xmlns="http://schemas.openxmlformats.org/spreadsheetml/2006/main" count="98" uniqueCount="82">
  <si>
    <t>Wsad</t>
  </si>
  <si>
    <t>Wartość</t>
  </si>
  <si>
    <t>Kompost</t>
  </si>
  <si>
    <r>
      <t>Ciężar nasypowy [t/m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scheme val="minor"/>
      </rPr>
      <t>]</t>
    </r>
  </si>
  <si>
    <t>Zawartoś suchej masy [%]</t>
  </si>
  <si>
    <t>Napływ suchej masy [t/rok]</t>
  </si>
  <si>
    <t>Napływ świeżej masy [t/rok]</t>
  </si>
  <si>
    <t>Napływ wody związanej [t/rok]</t>
  </si>
  <si>
    <t>Napływ materii organicznej [t/rok]</t>
  </si>
  <si>
    <t>Napływ materii mineralnej [t/rok]</t>
  </si>
  <si>
    <r>
      <t>Objętość strumienia napływającgo [m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scheme val="minor"/>
      </rPr>
      <t>/rok]</t>
    </r>
  </si>
  <si>
    <t>Zawartość materii orgaincznej w suchej masie [%]</t>
  </si>
  <si>
    <t>Inna substancja #1</t>
  </si>
  <si>
    <t>20 01 08</t>
  </si>
  <si>
    <t>20 02 01</t>
  </si>
  <si>
    <t>SUMA</t>
  </si>
  <si>
    <t>Krok 2 - określ długość okresu magazynowania substancji przed włączeniem ich w pryzmy kompostu</t>
  </si>
  <si>
    <t>Krok 1 - określ tonaż odpadów lub innych substancji przyjmowanych na kompostownię pryzmową</t>
  </si>
  <si>
    <t>Krok 3 - określ długość okresu kompostowania</t>
  </si>
  <si>
    <t>Długość okresu magazynowania, dla poszczególnych substancji [dni]</t>
  </si>
  <si>
    <t>Krok 4 - określ długość okresu magazynowania kompostu lub odpadów powstajacych w procesie kompostowania pryzmowego</t>
  </si>
  <si>
    <t>19 05 01</t>
  </si>
  <si>
    <t>19 05 03</t>
  </si>
  <si>
    <t xml:space="preserve"> - w tym: powierzchnia placu magazynowania odpadów lub innych substancji, łacznie [m²]:</t>
  </si>
  <si>
    <t xml:space="preserve"> - - w tym magazyn 20 01 08 [m²]:</t>
  </si>
  <si>
    <t xml:space="preserve"> - - w tym magazyn 20 02 01 [m²]:</t>
  </si>
  <si>
    <t xml:space="preserve"> - - w tym magazyn innej substancji #1 [m²]:</t>
  </si>
  <si>
    <t xml:space="preserve"> - w tym powierzchnia placu magazynowania kompostu [m²]:</t>
  </si>
  <si>
    <t xml:space="preserve"> - w tym powierzchnia placu magazynowania odpadu 19 05 01 [m²]:</t>
  </si>
  <si>
    <t xml:space="preserve"> - w tym powierzchnia placu magazynowania odpadu 19 05 03 [m²]:</t>
  </si>
  <si>
    <t>Ubytek objętości w skutek wymieszania wsadu (tzw. "kontrakcja objętości) [%]</t>
  </si>
  <si>
    <t>Ubytek części organicznych w procesie kompostowania [%]</t>
  </si>
  <si>
    <t>Dopuszczalny odsetek odpadu 19 05 03 [%]</t>
  </si>
  <si>
    <t>Wysokość pryzmy wsadu (20 02 01) [m]</t>
  </si>
  <si>
    <t>Długość pryzmy kompostowej [m]</t>
  </si>
  <si>
    <t>Długość dolnej podstawy pryzmy kompostowej [m]</t>
  </si>
  <si>
    <t>Długość górnej podstawy pryzmy kompostowej [m]</t>
  </si>
  <si>
    <t>Wysokość pryzmy kompostowej [m]</t>
  </si>
  <si>
    <t>Szerokość przejazdu między pryzmami [m]</t>
  </si>
  <si>
    <t>Szerokość czoła podjazdowego [m]</t>
  </si>
  <si>
    <t>Dopuszczalny odsetek odpadu powstającego w procesie kompostowania 19 05 01 [%]</t>
  </si>
  <si>
    <t>Kompost surowy</t>
  </si>
  <si>
    <t>Kompost gotowy</t>
  </si>
  <si>
    <t>nd.</t>
  </si>
  <si>
    <t>Substancje:</t>
  </si>
  <si>
    <t>Długość okresu kompostowania [dni]</t>
  </si>
  <si>
    <t>MIKROBIOTECH - ELIMINUJEMY ODPADY, TWORZYMY OSZCZĘDNOŚCI
662 127 637 | biuro@mikrobiotech.pl | www.mikrobiotech.pl</t>
  </si>
  <si>
    <t>Oznaczenia kolorowe:</t>
  </si>
  <si>
    <t xml:space="preserve">Komórki o żółtym tle zawierają dane wsadowe do dowolnej modyfikacji </t>
  </si>
  <si>
    <t>Pozostałe kolory (biały i inne) sygnalizują dane wynikające ze zmiennych i algorytmu modelu - *nie* modyfikować</t>
  </si>
  <si>
    <t>Tabela wynikowa - wymagana powierzchnia kompostowni wraz z placami magazynowymi</t>
  </si>
  <si>
    <t>Wysokość pryzmy wsadu (20 01 08) [m]</t>
  </si>
  <si>
    <t>Parametry i obliczenia przepływów masowych i objętościowych dla kompostowni</t>
  </si>
  <si>
    <t>Charakterystyka procesów fizycznych i biochemicznych</t>
  </si>
  <si>
    <t>Założenia projektowe strumienia odpadów powstających na kompostowni</t>
  </si>
  <si>
    <t>Założenia projektowe dla magazynowania substancji wsadowych</t>
  </si>
  <si>
    <t>Wysokość pryzmy wsadu (inna substancja #1) [m]</t>
  </si>
  <si>
    <t>Założenia projektowe dla wielkości pryzm kompostowych i przejazdów między pryzmami</t>
  </si>
  <si>
    <t>Założenia projektowe dla magazynowania substancji powstających w procesie kompostowania</t>
  </si>
  <si>
    <t>Powierzchnia placu kompostowania [m²]</t>
  </si>
  <si>
    <t>Ilość magazynowana [t]</t>
  </si>
  <si>
    <t>Ilość magazynowana [m³]</t>
  </si>
  <si>
    <t>Średnia wysokość pryzmy magazynowej kompostu [m]</t>
  </si>
  <si>
    <t>Średnia wysokość pryzmy magazynowej 19 05 01 [m]</t>
  </si>
  <si>
    <t>Średnia wysokość pryzmy magazynowej 19 05 03 [m]</t>
  </si>
  <si>
    <t>Napływ wsadu w okresie prowadzenia jednego cyklu kompostowania [m³]</t>
  </si>
  <si>
    <r>
      <t>Powierzchnia łączna [m</t>
    </r>
    <r>
      <rPr>
        <b/>
        <sz val="16"/>
        <color theme="1"/>
        <rFont val="Calibri"/>
        <family val="2"/>
        <charset val="238"/>
      </rPr>
      <t>²</t>
    </r>
    <r>
      <rPr>
        <b/>
        <sz val="16"/>
        <color theme="1"/>
        <rFont val="Calibri"/>
        <family val="2"/>
        <charset val="238"/>
        <scheme val="minor"/>
      </rPr>
      <t>]:</t>
    </r>
  </si>
  <si>
    <t xml:space="preserve"> - w tym powierzchnia zajęta przez pryzmy [m²]</t>
  </si>
  <si>
    <t xml:space="preserve"> - w tym powierzchnia zajęta pod przejazdy i teren manewrowy [m²]</t>
  </si>
  <si>
    <t xml:space="preserve"> - - w tym powierzchnia zajęta przez pryzmy [m²]</t>
  </si>
  <si>
    <t xml:space="preserve"> - w tym powierzchnia maganyzowania substancji powstających w procesie kompostowania</t>
  </si>
  <si>
    <t xml:space="preserve"> - - w tym powierzchnia zajęta pod przejazdy i teren manewrowy [m²]:</t>
  </si>
  <si>
    <t>Łączna wielkość powierzchni, na której dopuszcza się magazynowanie odpadów [m²]:</t>
  </si>
  <si>
    <t>Rozgrywki zakulisowe - szczegółowe parametry (możesz dowolnie modyfikować, jeśli uważasz, że w Twoim przypadku parametry powinny przyjąć inne wielkości)</t>
  </si>
  <si>
    <t xml:space="preserve"> - w tym powierzchnia placu kompostowania [m²]:</t>
  </si>
  <si>
    <t>Wyliczenia pośrednie dla wielkości placu kompostowania</t>
  </si>
  <si>
    <t>Wymiar placu wzdłuż pryzm [m]</t>
  </si>
  <si>
    <t>Wymiar placu w poprzek pryzm [m]</t>
  </si>
  <si>
    <t>Pozostałe parametry</t>
  </si>
  <si>
    <t>Przejdź przez Krok 1 - 4 tak, aby ocenić wymaganą wielkość kompostowni pryzmowej dla danej ilości i rodzajów odpadów</t>
  </si>
  <si>
    <t>Wymagana ilość pryzm, co najmniej [szt.]</t>
  </si>
  <si>
    <t>Objętość pryzmy kompostu na początku procesu (czyt. objętość wsadu deponowanego w pojednynczej pryzmie) [m³]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</si>
</sst>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2E74B5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0" fontId="2" fillId="0" borderId="1" xfId="0" applyFont="1" applyBorder="1"/>
    <xf numFmtId="1" fontId="0" fillId="2" borderId="1" xfId="0" applyNumberFormat="1" applyFill="1" applyBorder="1"/>
    <xf numFmtId="1" fontId="0" fillId="0" borderId="1" xfId="0" applyNumberFormat="1" applyBorder="1"/>
    <xf numFmtId="0" fontId="0" fillId="2" borderId="1" xfId="0" applyFill="1" applyBorder="1"/>
    <xf numFmtId="1" fontId="5" fillId="0" borderId="1" xfId="0" applyNumberFormat="1" applyFont="1" applyBorder="1"/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/>
    <xf numFmtId="0" fontId="5" fillId="4" borderId="2" xfId="0" applyFont="1" applyFill="1" applyBorder="1"/>
    <xf numFmtId="0" fontId="5" fillId="4" borderId="3" xfId="0" applyFont="1" applyFill="1" applyBorder="1"/>
    <xf numFmtId="0" fontId="0" fillId="4" borderId="4" xfId="0" applyFill="1" applyBorder="1"/>
    <xf numFmtId="1" fontId="5" fillId="4" borderId="4" xfId="0" applyNumberFormat="1" applyFont="1" applyFill="1" applyBorder="1"/>
    <xf numFmtId="0" fontId="0" fillId="0" borderId="5" xfId="0" applyBorder="1"/>
    <xf numFmtId="0" fontId="0" fillId="2" borderId="5" xfId="0" applyFill="1" applyBorder="1"/>
    <xf numFmtId="0" fontId="5" fillId="4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1" xfId="0" applyFont="1" applyFill="1" applyBorder="1"/>
    <xf numFmtId="0" fontId="8" fillId="4" borderId="2" xfId="0" applyFont="1" applyFill="1" applyBorder="1"/>
    <xf numFmtId="1" fontId="9" fillId="4" borderId="4" xfId="0" applyNumberFormat="1" applyFont="1" applyFill="1" applyBorder="1"/>
    <xf numFmtId="164" fontId="2" fillId="0" borderId="1" xfId="0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2" fontId="0" fillId="2" borderId="1" xfId="0" applyNumberFormat="1" applyFill="1" applyBorder="1"/>
    <xf numFmtId="2" fontId="0" fillId="0" borderId="1" xfId="0" applyNumberFormat="1" applyBorder="1"/>
    <xf numFmtId="9" fontId="0" fillId="2" borderId="1" xfId="0" applyNumberFormat="1" applyFill="1" applyBorder="1"/>
    <xf numFmtId="9" fontId="0" fillId="0" borderId="1" xfId="1" applyFont="1" applyBorder="1"/>
    <xf numFmtId="1" fontId="2" fillId="0" borderId="1" xfId="0" applyNumberFormat="1" applyFont="1" applyBorder="1"/>
    <xf numFmtId="9" fontId="0" fillId="0" borderId="1" xfId="0" applyNumberFormat="1" applyBorder="1"/>
    <xf numFmtId="0" fontId="10" fillId="0" borderId="1" xfId="0" applyFont="1" applyBorder="1"/>
    <xf numFmtId="0" fontId="7" fillId="0" borderId="1" xfId="0" applyFont="1" applyBorder="1"/>
    <xf numFmtId="1" fontId="0" fillId="0" borderId="1" xfId="0" applyNumberForma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2" fillId="0" borderId="0" xfId="0" applyFont="1"/>
    <xf numFmtId="1" fontId="0" fillId="0" borderId="0" xfId="0" applyNumberFormat="1"/>
    <xf numFmtId="1" fontId="2" fillId="0" borderId="1" xfId="0" applyNumberFormat="1" applyFont="1" applyBorder="1" applyAlignment="1">
      <alignment horizontal="center"/>
    </xf>
    <xf numFmtId="165" fontId="10" fillId="0" borderId="1" xfId="2" applyNumberFormat="1" applyFont="1" applyBorder="1"/>
    <xf numFmtId="0" fontId="0" fillId="4" borderId="1" xfId="0" applyFill="1" applyBorder="1"/>
    <xf numFmtId="165" fontId="7" fillId="0" borderId="1" xfId="2" applyNumberFormat="1" applyFont="1" applyBorder="1"/>
    <xf numFmtId="0" fontId="7" fillId="0" borderId="0" xfId="0" applyFont="1" applyAlignment="1">
      <alignment horizontal="left"/>
    </xf>
    <xf numFmtId="0" fontId="7" fillId="4" borderId="1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789570</xdr:colOff>
      <xdr:row>0</xdr:row>
      <xdr:rowOff>746147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55A1C5F-D886-4A6F-972D-128BFDC5A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9570" cy="7270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789570</xdr:colOff>
      <xdr:row>0</xdr:row>
      <xdr:rowOff>727097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BE255B4-020E-49D5-81FF-405E0182F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9570" cy="727097"/>
        </a:xfrm>
        <a:prstGeom prst="rect">
          <a:avLst/>
        </a:prstGeom>
      </xdr:spPr>
    </xdr:pic>
    <xdr:clientData/>
  </xdr:twoCellAnchor>
  <xdr:twoCellAnchor editAs="oneCell">
    <xdr:from>
      <xdr:col>2</xdr:col>
      <xdr:colOff>355601</xdr:colOff>
      <xdr:row>57</xdr:row>
      <xdr:rowOff>12700</xdr:rowOff>
    </xdr:from>
    <xdr:to>
      <xdr:col>9</xdr:col>
      <xdr:colOff>3445</xdr:colOff>
      <xdr:row>68</xdr:row>
      <xdr:rowOff>63500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03D45B9-3B63-181C-C8FA-2D5B1D958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1" y="11823700"/>
          <a:ext cx="8004444" cy="2146300"/>
        </a:xfrm>
        <a:prstGeom prst="rect">
          <a:avLst/>
        </a:prstGeom>
      </xdr:spPr>
    </xdr:pic>
    <xdr:clientData/>
  </xdr:twoCellAnchor>
  <xdr:twoCellAnchor>
    <xdr:from>
      <xdr:col>0</xdr:col>
      <xdr:colOff>5283200</xdr:colOff>
      <xdr:row>58</xdr:row>
      <xdr:rowOff>101600</xdr:rowOff>
    </xdr:from>
    <xdr:to>
      <xdr:col>3</xdr:col>
      <xdr:colOff>701000</xdr:colOff>
      <xdr:row>58</xdr:row>
      <xdr:rowOff>101600</xdr:rowOff>
    </xdr:to>
    <xdr:cxnSp macro="">
      <xdr:nvCxnSpPr>
        <xdr:cNvPr id="6" name="Łącznik prosty ze strzałką 5">
          <a:extLst>
            <a:ext uri="{FF2B5EF4-FFF2-40B4-BE49-F238E27FC236}">
              <a16:creationId xmlns:a16="http://schemas.microsoft.com/office/drawing/2014/main" id="{F4A03109-5670-2A5E-1A7B-9F989467D1CF}"/>
            </a:ext>
          </a:extLst>
        </xdr:cNvPr>
        <xdr:cNvCxnSpPr/>
      </xdr:nvCxnSpPr>
      <xdr:spPr>
        <a:xfrm flipV="1">
          <a:off x="5283200" y="12103100"/>
          <a:ext cx="54000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67CB4-F51F-4360-AD9B-C7B0283CA6E7}">
  <dimension ref="A1:I78"/>
  <sheetViews>
    <sheetView tabSelected="1" zoomScale="50" zoomScaleNormal="50" workbookViewId="0">
      <selection activeCell="B74" sqref="B74"/>
    </sheetView>
  </sheetViews>
  <sheetFormatPr defaultRowHeight="14.5" x14ac:dyDescent="0.35"/>
  <cols>
    <col min="1" max="1" width="108.7265625" bestFit="1" customWidth="1"/>
    <col min="2" max="11" width="17" customWidth="1"/>
  </cols>
  <sheetData>
    <row r="1" spans="1:7" ht="61.5" customHeight="1" x14ac:dyDescent="0.35">
      <c r="A1" s="51" t="s">
        <v>46</v>
      </c>
      <c r="B1" s="51"/>
      <c r="C1" s="51"/>
      <c r="D1" s="51"/>
      <c r="E1" s="51"/>
      <c r="F1" s="11"/>
      <c r="G1" s="11"/>
    </row>
    <row r="2" spans="1:7" x14ac:dyDescent="0.35">
      <c r="A2" s="52" t="s">
        <v>47</v>
      </c>
      <c r="B2" s="52"/>
      <c r="C2" s="52"/>
      <c r="D2" s="52"/>
      <c r="E2" s="52"/>
    </row>
    <row r="3" spans="1:7" x14ac:dyDescent="0.35">
      <c r="A3" s="53" t="s">
        <v>48</v>
      </c>
      <c r="B3" s="53"/>
      <c r="C3" s="53"/>
      <c r="D3" s="53"/>
      <c r="E3" s="53"/>
    </row>
    <row r="4" spans="1:7" x14ac:dyDescent="0.35">
      <c r="A4" s="54" t="s">
        <v>49</v>
      </c>
      <c r="B4" s="54"/>
      <c r="C4" s="54"/>
      <c r="D4" s="54"/>
      <c r="E4" s="54"/>
    </row>
    <row r="5" spans="1:7" x14ac:dyDescent="0.35">
      <c r="A5" s="12"/>
      <c r="B5" s="12"/>
      <c r="C5" s="12"/>
      <c r="D5" s="12"/>
      <c r="E5" s="12"/>
    </row>
    <row r="6" spans="1:7" ht="21" x14ac:dyDescent="0.5">
      <c r="A6" s="45" t="s">
        <v>79</v>
      </c>
      <c r="B6" s="45"/>
      <c r="C6" s="45"/>
      <c r="D6" s="45"/>
      <c r="E6" s="45"/>
      <c r="F6" s="13"/>
      <c r="G6" s="13"/>
    </row>
    <row r="7" spans="1:7" x14ac:dyDescent="0.35">
      <c r="A7" s="14" t="s">
        <v>17</v>
      </c>
      <c r="B7" s="15"/>
      <c r="C7" s="15"/>
      <c r="D7" s="15"/>
      <c r="E7" s="16"/>
    </row>
    <row r="8" spans="1:7" x14ac:dyDescent="0.35">
      <c r="A8" s="10" t="s">
        <v>44</v>
      </c>
      <c r="B8" s="2" t="s">
        <v>13</v>
      </c>
      <c r="C8" s="2" t="s">
        <v>14</v>
      </c>
      <c r="D8" s="2" t="s">
        <v>12</v>
      </c>
      <c r="E8" s="2" t="s">
        <v>15</v>
      </c>
    </row>
    <row r="9" spans="1:7" x14ac:dyDescent="0.35">
      <c r="A9" s="4" t="s">
        <v>6</v>
      </c>
      <c r="B9" s="5">
        <v>100</v>
      </c>
      <c r="C9" s="5">
        <v>2000</v>
      </c>
      <c r="D9" s="5">
        <v>0</v>
      </c>
      <c r="E9" s="6">
        <f>SUM(B9:D9)</f>
        <v>2100</v>
      </c>
    </row>
    <row r="10" spans="1:7" x14ac:dyDescent="0.35">
      <c r="A10" s="50" t="s">
        <v>16</v>
      </c>
      <c r="B10" s="50"/>
      <c r="C10" s="50"/>
      <c r="D10" s="50"/>
    </row>
    <row r="11" spans="1:7" x14ac:dyDescent="0.35">
      <c r="A11" s="10" t="s">
        <v>44</v>
      </c>
      <c r="B11" s="2" t="s">
        <v>13</v>
      </c>
      <c r="C11" s="2" t="s">
        <v>14</v>
      </c>
      <c r="D11" s="2" t="s">
        <v>12</v>
      </c>
    </row>
    <row r="12" spans="1:7" x14ac:dyDescent="0.35">
      <c r="A12" s="3" t="s">
        <v>19</v>
      </c>
      <c r="B12" s="7">
        <v>14</v>
      </c>
      <c r="C12" s="7">
        <f>12*7</f>
        <v>84</v>
      </c>
      <c r="D12" s="7">
        <f>5*7</f>
        <v>35</v>
      </c>
    </row>
    <row r="13" spans="1:7" x14ac:dyDescent="0.35">
      <c r="A13" s="14" t="s">
        <v>18</v>
      </c>
      <c r="B13" s="17"/>
    </row>
    <row r="14" spans="1:7" x14ac:dyDescent="0.35">
      <c r="A14" s="18" t="s">
        <v>45</v>
      </c>
      <c r="B14" s="19">
        <f>7*12</f>
        <v>84</v>
      </c>
    </row>
    <row r="15" spans="1:7" x14ac:dyDescent="0.35">
      <c r="A15" s="20" t="s">
        <v>20</v>
      </c>
      <c r="B15" s="21"/>
      <c r="C15" s="21"/>
      <c r="D15" s="22"/>
    </row>
    <row r="16" spans="1:7" x14ac:dyDescent="0.35">
      <c r="A16" s="10" t="s">
        <v>44</v>
      </c>
      <c r="B16" s="8" t="s">
        <v>2</v>
      </c>
      <c r="C16" s="2" t="s">
        <v>21</v>
      </c>
      <c r="D16" s="2" t="s">
        <v>22</v>
      </c>
    </row>
    <row r="17" spans="1:4" x14ac:dyDescent="0.35">
      <c r="A17" s="3" t="s">
        <v>19</v>
      </c>
      <c r="B17" s="7">
        <f>15*7</f>
        <v>105</v>
      </c>
      <c r="C17" s="7">
        <f>12*7</f>
        <v>84</v>
      </c>
      <c r="D17" s="7">
        <f>7*12</f>
        <v>84</v>
      </c>
    </row>
    <row r="19" spans="1:4" ht="21" x14ac:dyDescent="0.5">
      <c r="A19" s="24" t="s">
        <v>50</v>
      </c>
      <c r="B19" s="25"/>
    </row>
    <row r="20" spans="1:4" ht="21" x14ac:dyDescent="0.5">
      <c r="A20" s="36" t="s">
        <v>66</v>
      </c>
      <c r="B20" s="44">
        <f>B21+B25+B28</f>
        <v>2805.7517708592777</v>
      </c>
    </row>
    <row r="21" spans="1:4" ht="15.5" x14ac:dyDescent="0.35">
      <c r="A21" s="35" t="s">
        <v>23</v>
      </c>
      <c r="B21" s="42">
        <f>SUM(B22:B24)</f>
        <v>386.30136986301369</v>
      </c>
    </row>
    <row r="22" spans="1:4" x14ac:dyDescent="0.35">
      <c r="A22" s="4" t="s">
        <v>24</v>
      </c>
      <c r="B22" s="37">
        <f>B47/B56</f>
        <v>2.7397260273972606</v>
      </c>
    </row>
    <row r="23" spans="1:4" x14ac:dyDescent="0.35">
      <c r="A23" s="4" t="s">
        <v>25</v>
      </c>
      <c r="B23" s="37">
        <f>C47/B57</f>
        <v>383.56164383561645</v>
      </c>
    </row>
    <row r="24" spans="1:4" x14ac:dyDescent="0.35">
      <c r="A24" s="4" t="s">
        <v>26</v>
      </c>
      <c r="B24" s="37">
        <f>D47/B58</f>
        <v>0</v>
      </c>
    </row>
    <row r="25" spans="1:4" ht="15.5" x14ac:dyDescent="0.35">
      <c r="A25" s="35" t="s">
        <v>74</v>
      </c>
      <c r="B25" s="42">
        <f>B76</f>
        <v>2130</v>
      </c>
    </row>
    <row r="26" spans="1:4" x14ac:dyDescent="0.35">
      <c r="A26" s="3" t="s">
        <v>69</v>
      </c>
      <c r="B26" s="38">
        <f>B77</f>
        <v>900</v>
      </c>
    </row>
    <row r="27" spans="1:4" x14ac:dyDescent="0.35">
      <c r="A27" s="3" t="s">
        <v>71</v>
      </c>
      <c r="B27" s="38">
        <f>B78</f>
        <v>1230</v>
      </c>
    </row>
    <row r="28" spans="1:4" ht="15.5" x14ac:dyDescent="0.35">
      <c r="A28" s="35" t="s">
        <v>70</v>
      </c>
      <c r="B28" s="42">
        <f>SUM(B29:B31)</f>
        <v>289.45040099626397</v>
      </c>
    </row>
    <row r="29" spans="1:4" x14ac:dyDescent="0.35">
      <c r="A29" s="4" t="s">
        <v>27</v>
      </c>
      <c r="B29" s="37">
        <f>G47/B67</f>
        <v>241.20866749688662</v>
      </c>
    </row>
    <row r="30" spans="1:4" x14ac:dyDescent="0.35">
      <c r="A30" s="4" t="s">
        <v>28</v>
      </c>
      <c r="B30" s="37">
        <f>H47/B68</f>
        <v>24.120866749688663</v>
      </c>
    </row>
    <row r="31" spans="1:4" x14ac:dyDescent="0.35">
      <c r="A31" s="9" t="s">
        <v>29</v>
      </c>
      <c r="B31" s="37">
        <f>I47/B69</f>
        <v>24.120866749688663</v>
      </c>
    </row>
    <row r="32" spans="1:4" ht="15.5" x14ac:dyDescent="0.35">
      <c r="A32" s="35" t="s">
        <v>72</v>
      </c>
      <c r="B32" s="42">
        <f>B22+B23+B30+B31</f>
        <v>434.54310336239104</v>
      </c>
    </row>
    <row r="33" spans="1:9" x14ac:dyDescent="0.35">
      <c r="A33" s="39"/>
      <c r="B33" s="40"/>
    </row>
    <row r="34" spans="1:9" ht="21" x14ac:dyDescent="0.5">
      <c r="A34" s="46" t="s">
        <v>73</v>
      </c>
      <c r="B34" s="46"/>
      <c r="C34" s="46"/>
      <c r="D34" s="46"/>
      <c r="E34" s="46"/>
      <c r="F34" s="46"/>
      <c r="G34" s="46"/>
      <c r="H34" s="46"/>
      <c r="I34" s="46"/>
    </row>
    <row r="35" spans="1:9" x14ac:dyDescent="0.35">
      <c r="A35" s="47" t="s">
        <v>52</v>
      </c>
      <c r="B35" s="48"/>
      <c r="C35" s="48"/>
      <c r="D35" s="48"/>
      <c r="E35" s="48"/>
      <c r="F35" s="48"/>
      <c r="G35" s="48"/>
      <c r="H35" s="48"/>
      <c r="I35" s="49"/>
    </row>
    <row r="36" spans="1:9" x14ac:dyDescent="0.35">
      <c r="A36" s="10" t="s">
        <v>44</v>
      </c>
      <c r="B36" s="2" t="s">
        <v>13</v>
      </c>
      <c r="C36" s="2" t="s">
        <v>14</v>
      </c>
      <c r="D36" s="2" t="s">
        <v>12</v>
      </c>
      <c r="E36" s="2" t="s">
        <v>0</v>
      </c>
      <c r="F36" s="2" t="s">
        <v>41</v>
      </c>
      <c r="G36" s="2" t="s">
        <v>42</v>
      </c>
      <c r="H36" s="2" t="s">
        <v>21</v>
      </c>
      <c r="I36" s="2" t="s">
        <v>22</v>
      </c>
    </row>
    <row r="37" spans="1:9" x14ac:dyDescent="0.35">
      <c r="A37" s="4" t="s">
        <v>6</v>
      </c>
      <c r="B37" s="26">
        <f>B9</f>
        <v>100</v>
      </c>
      <c r="C37" s="26">
        <f>C9</f>
        <v>2000</v>
      </c>
      <c r="D37" s="26">
        <f>D9</f>
        <v>0</v>
      </c>
      <c r="E37" s="26">
        <f>SUM(B37:D37)</f>
        <v>2100</v>
      </c>
      <c r="F37" s="26">
        <f>F41/F39</f>
        <v>1152.9199999999998</v>
      </c>
      <c r="G37" s="26">
        <f>F37-H37-I37</f>
        <v>922.3359999999999</v>
      </c>
      <c r="H37" s="26">
        <f>F37*B53</f>
        <v>115.29199999999999</v>
      </c>
      <c r="I37" s="27">
        <f>F37*B54</f>
        <v>115.29199999999999</v>
      </c>
    </row>
    <row r="38" spans="1:9" x14ac:dyDescent="0.35">
      <c r="A38" s="28" t="s">
        <v>3</v>
      </c>
      <c r="B38" s="29">
        <v>0.7</v>
      </c>
      <c r="C38" s="29">
        <v>0.6</v>
      </c>
      <c r="D38" s="29">
        <v>0.35</v>
      </c>
      <c r="E38" s="30">
        <f>E37/E45</f>
        <v>0.67123287671232879</v>
      </c>
      <c r="F38" s="7">
        <v>0.55000000000000004</v>
      </c>
      <c r="G38" s="3">
        <f>F38</f>
        <v>0.55000000000000004</v>
      </c>
      <c r="H38" s="3">
        <f>F38</f>
        <v>0.55000000000000004</v>
      </c>
      <c r="I38" s="3">
        <f>F38</f>
        <v>0.55000000000000004</v>
      </c>
    </row>
    <row r="39" spans="1:9" x14ac:dyDescent="0.35">
      <c r="A39" s="28" t="s">
        <v>4</v>
      </c>
      <c r="B39" s="31">
        <v>0.2</v>
      </c>
      <c r="C39" s="31">
        <v>0.4</v>
      </c>
      <c r="D39" s="31">
        <v>0.8</v>
      </c>
      <c r="E39" s="32">
        <f>E41/E37</f>
        <v>0.39047619047619048</v>
      </c>
      <c r="F39" s="31">
        <v>0.5</v>
      </c>
      <c r="G39" s="32">
        <f>G41/G37</f>
        <v>0.5</v>
      </c>
      <c r="H39" s="32">
        <f>H41/H37</f>
        <v>0.5</v>
      </c>
      <c r="I39" s="32">
        <f>I41/I37</f>
        <v>0.5</v>
      </c>
    </row>
    <row r="40" spans="1:9" x14ac:dyDescent="0.35">
      <c r="A40" s="28" t="s">
        <v>11</v>
      </c>
      <c r="B40" s="31">
        <v>0.9</v>
      </c>
      <c r="C40" s="31">
        <v>0.9</v>
      </c>
      <c r="D40" s="31">
        <v>0.9</v>
      </c>
      <c r="E40" s="32">
        <f>E43/E41</f>
        <v>0.9</v>
      </c>
      <c r="F40" s="32">
        <f>F43/F41</f>
        <v>0.85775248933143666</v>
      </c>
      <c r="G40" s="32">
        <f>G43/G41</f>
        <v>0.85775248933143655</v>
      </c>
      <c r="H40" s="32">
        <f>H43/H41</f>
        <v>0.85775248933143677</v>
      </c>
      <c r="I40" s="32">
        <f>I43/I41</f>
        <v>0.85775248933143677</v>
      </c>
    </row>
    <row r="41" spans="1:9" x14ac:dyDescent="0.35">
      <c r="A41" s="28" t="s">
        <v>5</v>
      </c>
      <c r="B41" s="27">
        <f>B39*B9</f>
        <v>20</v>
      </c>
      <c r="C41" s="27">
        <f>C39*C9</f>
        <v>800</v>
      </c>
      <c r="D41" s="27">
        <f>D39*D9</f>
        <v>0</v>
      </c>
      <c r="E41" s="26">
        <f>SUM(B41:D41)</f>
        <v>820</v>
      </c>
      <c r="F41" s="27">
        <f>F43+F44</f>
        <v>576.45999999999992</v>
      </c>
      <c r="G41" s="26">
        <f>F41-H41-I41</f>
        <v>461.16799999999995</v>
      </c>
      <c r="H41" s="27">
        <f>F41*$B$53</f>
        <v>57.645999999999994</v>
      </c>
      <c r="I41" s="27">
        <f>F41*$B$54</f>
        <v>57.645999999999994</v>
      </c>
    </row>
    <row r="42" spans="1:9" x14ac:dyDescent="0.35">
      <c r="A42" s="28" t="s">
        <v>7</v>
      </c>
      <c r="B42" s="27">
        <f>B9-B41</f>
        <v>80</v>
      </c>
      <c r="C42" s="27">
        <f>C9-C41</f>
        <v>1200</v>
      </c>
      <c r="D42" s="27">
        <f>D9-D41</f>
        <v>0</v>
      </c>
      <c r="E42" s="26">
        <f>SUM(B42:D42)</f>
        <v>1280</v>
      </c>
      <c r="F42" s="27">
        <f>F37-F41</f>
        <v>576.45999999999992</v>
      </c>
      <c r="G42" s="26">
        <f>F42-H42-I42</f>
        <v>461.16799999999995</v>
      </c>
      <c r="H42" s="27">
        <f t="shared" ref="H42:H44" si="0">F42*$B$53</f>
        <v>57.645999999999994</v>
      </c>
      <c r="I42" s="27">
        <f t="shared" ref="I42:I44" si="1">F42*$B$54</f>
        <v>57.645999999999994</v>
      </c>
    </row>
    <row r="43" spans="1:9" x14ac:dyDescent="0.35">
      <c r="A43" s="28" t="s">
        <v>8</v>
      </c>
      <c r="B43" s="27">
        <f>B40*B41</f>
        <v>18</v>
      </c>
      <c r="C43" s="27">
        <f>C40*C41</f>
        <v>720</v>
      </c>
      <c r="D43" s="27">
        <f>D40*D41</f>
        <v>0</v>
      </c>
      <c r="E43" s="26">
        <f>SUM(B43:D43)</f>
        <v>738</v>
      </c>
      <c r="F43" s="27">
        <f>E43*(1-B51)</f>
        <v>494.45999999999992</v>
      </c>
      <c r="G43" s="26">
        <f>F43-H43-I43</f>
        <v>395.56799999999987</v>
      </c>
      <c r="H43" s="27">
        <f t="shared" si="0"/>
        <v>49.445999999999998</v>
      </c>
      <c r="I43" s="27">
        <f t="shared" si="1"/>
        <v>49.445999999999998</v>
      </c>
    </row>
    <row r="44" spans="1:9" x14ac:dyDescent="0.35">
      <c r="A44" s="28" t="s">
        <v>9</v>
      </c>
      <c r="B44" s="27">
        <f>B41-B43</f>
        <v>2</v>
      </c>
      <c r="C44" s="27">
        <f>C41-C43</f>
        <v>80</v>
      </c>
      <c r="D44" s="27">
        <f>D41-D43</f>
        <v>0</v>
      </c>
      <c r="E44" s="26">
        <f>SUM(B44:D44)</f>
        <v>82</v>
      </c>
      <c r="F44" s="27">
        <f>E44</f>
        <v>82</v>
      </c>
      <c r="G44" s="26">
        <f>F44-H44-I44</f>
        <v>65.599999999999994</v>
      </c>
      <c r="H44" s="27">
        <f t="shared" si="0"/>
        <v>8.2000000000000011</v>
      </c>
      <c r="I44" s="27">
        <f t="shared" si="1"/>
        <v>8.2000000000000011</v>
      </c>
    </row>
    <row r="45" spans="1:9" x14ac:dyDescent="0.35">
      <c r="A45" s="28" t="s">
        <v>10</v>
      </c>
      <c r="B45" s="6">
        <f>B9/B38</f>
        <v>142.85714285714286</v>
      </c>
      <c r="C45" s="6">
        <f>C9/C38</f>
        <v>3333.3333333333335</v>
      </c>
      <c r="D45" s="6">
        <f>D9/D38</f>
        <v>0</v>
      </c>
      <c r="E45" s="33">
        <f>SUM(B45:D45)*(1-B50)</f>
        <v>3128.5714285714284</v>
      </c>
      <c r="F45" s="6">
        <f>F37/F38</f>
        <v>2096.2181818181812</v>
      </c>
      <c r="G45" s="6">
        <f>G37/G38</f>
        <v>1676.974545454545</v>
      </c>
      <c r="H45" s="6">
        <f t="shared" ref="H45:I45" si="2">H37/H38</f>
        <v>209.62181818181813</v>
      </c>
      <c r="I45" s="6">
        <f t="shared" si="2"/>
        <v>209.62181818181813</v>
      </c>
    </row>
    <row r="46" spans="1:9" x14ac:dyDescent="0.35">
      <c r="A46" s="28" t="s">
        <v>60</v>
      </c>
      <c r="B46" s="6">
        <f>B12/365*B37</f>
        <v>3.8356164383561646</v>
      </c>
      <c r="C46" s="6">
        <f>C12/365*C37</f>
        <v>460.27397260273972</v>
      </c>
      <c r="D46" s="6">
        <f>D12/365*D37</f>
        <v>0</v>
      </c>
      <c r="E46" s="41" t="s">
        <v>43</v>
      </c>
      <c r="F46" s="41" t="s">
        <v>43</v>
      </c>
      <c r="G46" s="6">
        <f>B17/365*G37</f>
        <v>265.32953424657529</v>
      </c>
      <c r="H46" s="6">
        <f>C17/365*H37</f>
        <v>26.532953424657531</v>
      </c>
      <c r="I46" s="6">
        <f>D17/365*I37</f>
        <v>26.532953424657531</v>
      </c>
    </row>
    <row r="47" spans="1:9" x14ac:dyDescent="0.35">
      <c r="A47" s="28" t="s">
        <v>61</v>
      </c>
      <c r="B47" s="6">
        <f>B46/B38</f>
        <v>5.4794520547945211</v>
      </c>
      <c r="C47" s="6">
        <f t="shared" ref="C47:D47" si="3">C46/C38</f>
        <v>767.1232876712329</v>
      </c>
      <c r="D47" s="6">
        <f t="shared" si="3"/>
        <v>0</v>
      </c>
      <c r="E47" s="41" t="s">
        <v>43</v>
      </c>
      <c r="F47" s="41" t="s">
        <v>43</v>
      </c>
      <c r="G47" s="6">
        <f t="shared" ref="G47" si="4">G46/G38</f>
        <v>482.41733499377324</v>
      </c>
      <c r="H47" s="6">
        <f t="shared" ref="H47" si="5">H46/H38</f>
        <v>48.241733499377325</v>
      </c>
      <c r="I47" s="6">
        <f t="shared" ref="I47" si="6">I46/I38</f>
        <v>48.241733499377325</v>
      </c>
    </row>
    <row r="48" spans="1:9" x14ac:dyDescent="0.35">
      <c r="A48" s="23" t="s">
        <v>78</v>
      </c>
      <c r="B48" s="23" t="s">
        <v>1</v>
      </c>
      <c r="C48" s="1"/>
    </row>
    <row r="49" spans="1:3" x14ac:dyDescent="0.35">
      <c r="A49" s="2" t="s">
        <v>53</v>
      </c>
      <c r="B49" s="2"/>
      <c r="C49" s="1"/>
    </row>
    <row r="50" spans="1:3" x14ac:dyDescent="0.35">
      <c r="A50" s="3" t="s">
        <v>30</v>
      </c>
      <c r="B50" s="31">
        <v>0.1</v>
      </c>
    </row>
    <row r="51" spans="1:3" x14ac:dyDescent="0.35">
      <c r="A51" s="3" t="s">
        <v>31</v>
      </c>
      <c r="B51" s="31">
        <v>0.33</v>
      </c>
    </row>
    <row r="52" spans="1:3" x14ac:dyDescent="0.35">
      <c r="A52" s="2" t="s">
        <v>54</v>
      </c>
      <c r="B52" s="34"/>
    </row>
    <row r="53" spans="1:3" x14ac:dyDescent="0.35">
      <c r="A53" s="3" t="s">
        <v>40</v>
      </c>
      <c r="B53" s="31">
        <v>0.1</v>
      </c>
    </row>
    <row r="54" spans="1:3" x14ac:dyDescent="0.35">
      <c r="A54" s="3" t="s">
        <v>32</v>
      </c>
      <c r="B54" s="31">
        <v>0.1</v>
      </c>
    </row>
    <row r="55" spans="1:3" x14ac:dyDescent="0.35">
      <c r="A55" s="2" t="s">
        <v>55</v>
      </c>
      <c r="B55" s="34"/>
    </row>
    <row r="56" spans="1:3" x14ac:dyDescent="0.35">
      <c r="A56" s="3" t="s">
        <v>51</v>
      </c>
      <c r="B56" s="7">
        <v>2</v>
      </c>
    </row>
    <row r="57" spans="1:3" x14ac:dyDescent="0.35">
      <c r="A57" s="3" t="s">
        <v>33</v>
      </c>
      <c r="B57" s="7">
        <v>2</v>
      </c>
    </row>
    <row r="58" spans="1:3" x14ac:dyDescent="0.35">
      <c r="A58" s="3" t="s">
        <v>56</v>
      </c>
      <c r="B58" s="7">
        <v>2</v>
      </c>
    </row>
    <row r="59" spans="1:3" x14ac:dyDescent="0.35">
      <c r="A59" s="2" t="s">
        <v>57</v>
      </c>
      <c r="B59" s="3"/>
    </row>
    <row r="60" spans="1:3" x14ac:dyDescent="0.35">
      <c r="A60" s="3" t="s">
        <v>34</v>
      </c>
      <c r="B60" s="7">
        <v>50</v>
      </c>
    </row>
    <row r="61" spans="1:3" x14ac:dyDescent="0.35">
      <c r="A61" s="3" t="s">
        <v>35</v>
      </c>
      <c r="B61" s="7">
        <v>3</v>
      </c>
    </row>
    <row r="62" spans="1:3" x14ac:dyDescent="0.35">
      <c r="A62" s="3" t="s">
        <v>36</v>
      </c>
      <c r="B62" s="7">
        <v>0.5</v>
      </c>
    </row>
    <row r="63" spans="1:3" x14ac:dyDescent="0.35">
      <c r="A63" s="3" t="s">
        <v>37</v>
      </c>
      <c r="B63" s="7">
        <v>1.5</v>
      </c>
    </row>
    <row r="64" spans="1:3" x14ac:dyDescent="0.35">
      <c r="A64" s="3" t="s">
        <v>38</v>
      </c>
      <c r="B64" s="7">
        <v>2.5</v>
      </c>
    </row>
    <row r="65" spans="1:2" x14ac:dyDescent="0.35">
      <c r="A65" s="3" t="s">
        <v>39</v>
      </c>
      <c r="B65" s="7">
        <v>5</v>
      </c>
    </row>
    <row r="66" spans="1:2" x14ac:dyDescent="0.35">
      <c r="A66" s="2" t="s">
        <v>58</v>
      </c>
      <c r="B66" s="3"/>
    </row>
    <row r="67" spans="1:2" x14ac:dyDescent="0.35">
      <c r="A67" s="3" t="s">
        <v>62</v>
      </c>
      <c r="B67" s="7">
        <v>2</v>
      </c>
    </row>
    <row r="68" spans="1:2" x14ac:dyDescent="0.35">
      <c r="A68" s="3" t="s">
        <v>63</v>
      </c>
      <c r="B68" s="7">
        <v>2</v>
      </c>
    </row>
    <row r="69" spans="1:2" x14ac:dyDescent="0.35">
      <c r="A69" s="3" t="s">
        <v>64</v>
      </c>
      <c r="B69" s="7">
        <v>2</v>
      </c>
    </row>
    <row r="70" spans="1:2" x14ac:dyDescent="0.35">
      <c r="A70" s="43" t="s">
        <v>75</v>
      </c>
      <c r="B70" s="43"/>
    </row>
    <row r="71" spans="1:2" x14ac:dyDescent="0.35">
      <c r="A71" s="3" t="s">
        <v>81</v>
      </c>
      <c r="B71" s="6">
        <f>B60*((B61+B62)*B63)/2</f>
        <v>131.25</v>
      </c>
    </row>
    <row r="72" spans="1:2" x14ac:dyDescent="0.35">
      <c r="A72" s="3" t="s">
        <v>65</v>
      </c>
      <c r="B72" s="6">
        <f>B14/365*E45</f>
        <v>720</v>
      </c>
    </row>
    <row r="73" spans="1:2" x14ac:dyDescent="0.35">
      <c r="A73" s="3" t="s">
        <v>80</v>
      </c>
      <c r="B73" s="27">
        <f>CEILING(B72/B71,1)</f>
        <v>6</v>
      </c>
    </row>
    <row r="74" spans="1:2" x14ac:dyDescent="0.35">
      <c r="A74" s="3" t="s">
        <v>76</v>
      </c>
      <c r="B74" s="3">
        <f>B60+2*B65</f>
        <v>60</v>
      </c>
    </row>
    <row r="75" spans="1:2" x14ac:dyDescent="0.35">
      <c r="A75" s="3" t="s">
        <v>77</v>
      </c>
      <c r="B75" s="3">
        <f>B73*(B61+B64)+B64</f>
        <v>35.5</v>
      </c>
    </row>
    <row r="76" spans="1:2" x14ac:dyDescent="0.35">
      <c r="A76" s="3" t="s">
        <v>59</v>
      </c>
      <c r="B76" s="3">
        <f>B74*B75</f>
        <v>2130</v>
      </c>
    </row>
    <row r="77" spans="1:2" x14ac:dyDescent="0.35">
      <c r="A77" s="3" t="s">
        <v>67</v>
      </c>
      <c r="B77" s="3">
        <f>B60*B61*B73</f>
        <v>900</v>
      </c>
    </row>
    <row r="78" spans="1:2" x14ac:dyDescent="0.35">
      <c r="A78" s="3" t="s">
        <v>68</v>
      </c>
      <c r="B78" s="3">
        <f>B76-B77</f>
        <v>1230</v>
      </c>
    </row>
  </sheetData>
  <mergeCells count="8">
    <mergeCell ref="A6:E6"/>
    <mergeCell ref="A34:I34"/>
    <mergeCell ref="A35:I35"/>
    <mergeCell ref="A10:D10"/>
    <mergeCell ref="A1:E1"/>
    <mergeCell ref="A2:E2"/>
    <mergeCell ref="A3:E3"/>
    <mergeCell ref="A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Kolbusz</dc:creator>
  <cp:lastModifiedBy>Jan Kolbusz</cp:lastModifiedBy>
  <dcterms:created xsi:type="dcterms:W3CDTF">2015-06-05T18:19:34Z</dcterms:created>
  <dcterms:modified xsi:type="dcterms:W3CDTF">2023-01-30T06:27:43Z</dcterms:modified>
</cp:coreProperties>
</file>